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torgft11630129.sharepoint.com/sites/TheWilliamStanleyCFOGroup/Shared Documents/WSG Files/Blog Posts/"/>
    </mc:Choice>
  </mc:AlternateContent>
  <xr:revisionPtr revIDLastSave="272" documentId="8_{4537B69D-8C74-46A0-97AE-56F628911DE4}" xr6:coauthVersionLast="47" xr6:coauthVersionMax="47" xr10:uidLastSave="{A2CD76AC-B0D0-4C36-8205-8DBB51F3B129}"/>
  <bookViews>
    <workbookView xWindow="-108" yWindow="-108" windowWidth="23256" windowHeight="13896" xr2:uid="{ECE6995C-0F5E-47BF-942C-56B9312BE882}"/>
  </bookViews>
  <sheets>
    <sheet name="Budget" sheetId="2" r:id="rId1"/>
  </sheet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2" l="1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5" i="2"/>
  <c r="Z26" i="2"/>
  <c r="Z27" i="2"/>
  <c r="Z28" i="2"/>
  <c r="Z2" i="2"/>
  <c r="I27" i="2"/>
  <c r="I3" i="2"/>
  <c r="I4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2" i="2"/>
  <c r="I25" i="2"/>
  <c r="I26" i="2"/>
  <c r="I28" i="2"/>
  <c r="I30" i="2"/>
  <c r="I2" i="2"/>
  <c r="N28" i="2"/>
  <c r="O28" i="2"/>
  <c r="P28" i="2"/>
  <c r="Q28" i="2"/>
  <c r="R28" i="2"/>
  <c r="S28" i="2"/>
  <c r="T28" i="2"/>
  <c r="U28" i="2"/>
  <c r="V28" i="2"/>
  <c r="W28" i="2"/>
  <c r="X28" i="2"/>
  <c r="M28" i="2"/>
  <c r="N8" i="2"/>
  <c r="N9" i="2" s="1"/>
  <c r="N20" i="2" s="1"/>
  <c r="O8" i="2"/>
  <c r="O9" i="2" s="1"/>
  <c r="O20" i="2" s="1"/>
  <c r="P8" i="2"/>
  <c r="P9" i="2" s="1"/>
  <c r="P20" i="2" s="1"/>
  <c r="Q8" i="2"/>
  <c r="R8" i="2"/>
  <c r="R9" i="2" s="1"/>
  <c r="S8" i="2"/>
  <c r="S9" i="2" s="1"/>
  <c r="T8" i="2"/>
  <c r="U8" i="2"/>
  <c r="U9" i="2" s="1"/>
  <c r="V8" i="2"/>
  <c r="V9" i="2" s="1"/>
  <c r="W8" i="2"/>
  <c r="X8" i="2"/>
  <c r="X9" i="2" s="1"/>
  <c r="M8" i="2"/>
  <c r="M9" i="2" s="1"/>
  <c r="M20" i="2" s="1"/>
  <c r="N17" i="2"/>
  <c r="O17" i="2"/>
  <c r="P17" i="2"/>
  <c r="Q17" i="2"/>
  <c r="R17" i="2"/>
  <c r="S17" i="2"/>
  <c r="T17" i="2"/>
  <c r="U17" i="2"/>
  <c r="V17" i="2"/>
  <c r="W17" i="2"/>
  <c r="X17" i="2"/>
  <c r="M17" i="2"/>
  <c r="N12" i="2"/>
  <c r="O12" i="2"/>
  <c r="P12" i="2"/>
  <c r="Q12" i="2"/>
  <c r="Q20" i="2" s="1"/>
  <c r="R12" i="2"/>
  <c r="S12" i="2"/>
  <c r="T12" i="2"/>
  <c r="U12" i="2"/>
  <c r="V12" i="2"/>
  <c r="W12" i="2"/>
  <c r="X12" i="2"/>
  <c r="M12" i="2"/>
  <c r="Q9" i="2"/>
  <c r="T9" i="2"/>
  <c r="W9" i="2"/>
  <c r="F8" i="2"/>
  <c r="H8" i="2"/>
  <c r="G8" i="2"/>
  <c r="D8" i="2"/>
  <c r="E8" i="2"/>
  <c r="C8" i="2"/>
  <c r="V20" i="2" l="1"/>
  <c r="X20" i="2"/>
  <c r="U20" i="2"/>
  <c r="S20" i="2"/>
  <c r="W20" i="2"/>
  <c r="T20" i="2"/>
  <c r="R20" i="2"/>
  <c r="Y7" i="2" l="1"/>
  <c r="N4" i="2"/>
  <c r="N22" i="2" s="1"/>
  <c r="N30" i="2" s="1"/>
  <c r="O4" i="2"/>
  <c r="O22" i="2" s="1"/>
  <c r="O30" i="2" s="1"/>
  <c r="P4" i="2"/>
  <c r="P22" i="2" s="1"/>
  <c r="P30" i="2" s="1"/>
  <c r="Q4" i="2"/>
  <c r="Q22" i="2" s="1"/>
  <c r="Q30" i="2" s="1"/>
  <c r="R4" i="2"/>
  <c r="R22" i="2" s="1"/>
  <c r="R30" i="2" s="1"/>
  <c r="S4" i="2"/>
  <c r="S22" i="2" s="1"/>
  <c r="S30" i="2" s="1"/>
  <c r="T4" i="2"/>
  <c r="T22" i="2" s="1"/>
  <c r="T30" i="2" s="1"/>
  <c r="U4" i="2"/>
  <c r="U22" i="2" s="1"/>
  <c r="U30" i="2" s="1"/>
  <c r="V4" i="2"/>
  <c r="V22" i="2" s="1"/>
  <c r="V30" i="2" s="1"/>
  <c r="W4" i="2"/>
  <c r="W22" i="2" s="1"/>
  <c r="W30" i="2" s="1"/>
  <c r="X4" i="2"/>
  <c r="X22" i="2" s="1"/>
  <c r="X30" i="2" s="1"/>
  <c r="M4" i="2"/>
  <c r="M22" i="2" s="1"/>
  <c r="M30" i="2" s="1"/>
  <c r="Y3" i="2"/>
  <c r="Z3" i="2" s="1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5" i="2"/>
  <c r="Y26" i="2"/>
  <c r="Y27" i="2"/>
  <c r="Y28" i="2"/>
  <c r="Y29" i="2"/>
  <c r="Y2" i="2"/>
  <c r="H28" i="2"/>
  <c r="G28" i="2"/>
  <c r="F28" i="2"/>
  <c r="E28" i="2"/>
  <c r="D28" i="2"/>
  <c r="C28" i="2"/>
  <c r="H19" i="2"/>
  <c r="G19" i="2"/>
  <c r="F19" i="2"/>
  <c r="E19" i="2"/>
  <c r="D19" i="2"/>
  <c r="C12" i="2"/>
  <c r="H11" i="2"/>
  <c r="G11" i="2"/>
  <c r="F11" i="2"/>
  <c r="E11" i="2"/>
  <c r="D11" i="2"/>
  <c r="C11" i="2"/>
  <c r="G9" i="2"/>
  <c r="E9" i="2"/>
  <c r="D9" i="2"/>
  <c r="H3" i="2"/>
  <c r="H4" i="2" s="1"/>
  <c r="G3" i="2"/>
  <c r="G4" i="2" s="1"/>
  <c r="G5" i="2" s="1"/>
  <c r="F3" i="2"/>
  <c r="E3" i="2"/>
  <c r="D3" i="2"/>
  <c r="C3" i="2"/>
  <c r="Y30" i="2" l="1"/>
  <c r="Z30" i="2" s="1"/>
  <c r="Y22" i="2"/>
  <c r="Z22" i="2" s="1"/>
  <c r="D20" i="2"/>
  <c r="Y4" i="2"/>
  <c r="Z4" i="2" s="1"/>
  <c r="C9" i="2"/>
  <c r="C20" i="2" s="1"/>
  <c r="F9" i="2"/>
  <c r="E20" i="2"/>
  <c r="H9" i="2"/>
  <c r="F4" i="2"/>
  <c r="C4" i="2"/>
  <c r="G20" i="2"/>
  <c r="D4" i="2"/>
  <c r="E4" i="2"/>
  <c r="G22" i="2" l="1"/>
  <c r="H20" i="2"/>
  <c r="F20" i="2"/>
  <c r="G30" i="2"/>
  <c r="E22" i="2"/>
  <c r="D22" i="2"/>
  <c r="C22" i="2"/>
  <c r="H22" i="2" l="1"/>
  <c r="F22" i="2"/>
  <c r="C30" i="2"/>
  <c r="D30" i="2"/>
  <c r="E30" i="2"/>
  <c r="H30" i="2" l="1"/>
  <c r="F30" i="2"/>
</calcChain>
</file>

<file path=xl/sharedStrings.xml><?xml version="1.0" encoding="utf-8"?>
<sst xmlns="http://schemas.openxmlformats.org/spreadsheetml/2006/main" count="99" uniqueCount="35">
  <si>
    <t>Sales</t>
  </si>
  <si>
    <t>COGS</t>
  </si>
  <si>
    <t>Enter from your P&amp;L</t>
  </si>
  <si>
    <t>Auto Calculated</t>
  </si>
  <si>
    <t>Instructions</t>
  </si>
  <si>
    <t>Gross Profit</t>
  </si>
  <si>
    <t>Gross Margin</t>
  </si>
  <si>
    <t>Operating Expenses</t>
  </si>
  <si>
    <t>Salaries &amp; Wages</t>
  </si>
  <si>
    <t>Payroll Taxes &amp; Fringe Benefits</t>
  </si>
  <si>
    <t>Bonuses &amp; Commissions</t>
  </si>
  <si>
    <t>Marketing/Advertising</t>
  </si>
  <si>
    <t>Professional Fees</t>
  </si>
  <si>
    <t>Liability Insurance</t>
  </si>
  <si>
    <t>Software Expense</t>
  </si>
  <si>
    <t>Office Supplies</t>
  </si>
  <si>
    <t>Utilities</t>
  </si>
  <si>
    <t>Repairs &amp; Maintenance</t>
  </si>
  <si>
    <t>Dues &amp; Subscriptions</t>
  </si>
  <si>
    <t>Travel, Meals, &amp; Entertainment</t>
  </si>
  <si>
    <t>Total Operating Expenses</t>
  </si>
  <si>
    <t>Rent &amp; Lease Expense</t>
  </si>
  <si>
    <t>EBITDA</t>
  </si>
  <si>
    <t>Interest Expense</t>
  </si>
  <si>
    <t>Depreciation &amp; Amortization</t>
  </si>
  <si>
    <t>Extraordinary Expense:  Restructuring</t>
  </si>
  <si>
    <t>Total - Other Expenses</t>
  </si>
  <si>
    <t>Net Income/(Loss)</t>
  </si>
  <si>
    <t>Other Expenses</t>
  </si>
  <si>
    <t>Total</t>
  </si>
  <si>
    <t>Enter Your Estimate</t>
  </si>
  <si>
    <t xml:space="preserve">EBITDA </t>
  </si>
  <si>
    <t>Net Income</t>
  </si>
  <si>
    <t>Income Statement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</si>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</sst>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7" xfId="1" applyNumberFormat="1" applyFont="1" applyBorder="1"/>
    <xf numFmtId="164" fontId="0" fillId="0" borderId="0" xfId="1" applyNumberFormat="1" applyFont="1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2" fillId="2" borderId="1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3" fillId="0" borderId="7" xfId="0" applyFont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165" fontId="0" fillId="0" borderId="7" xfId="3" applyNumberFormat="1" applyFont="1" applyBorder="1"/>
    <xf numFmtId="165" fontId="0" fillId="0" borderId="0" xfId="3" applyNumberFormat="1" applyFont="1" applyBorder="1"/>
    <xf numFmtId="165" fontId="0" fillId="0" borderId="8" xfId="3" applyNumberFormat="1" applyFont="1" applyBorder="1"/>
    <xf numFmtId="164" fontId="3" fillId="0" borderId="9" xfId="1" applyNumberFormat="1" applyFont="1" applyBorder="1"/>
    <xf numFmtId="164" fontId="3" fillId="0" borderId="10" xfId="1" applyNumberFormat="1" applyFont="1" applyBorder="1"/>
    <xf numFmtId="0" fontId="0" fillId="0" borderId="7" xfId="0" applyBorder="1" applyAlignment="1">
      <alignment horizontal="left" indent="2"/>
    </xf>
    <xf numFmtId="164" fontId="3" fillId="0" borderId="13" xfId="1" applyNumberFormat="1" applyFont="1" applyBorder="1"/>
    <xf numFmtId="164" fontId="3" fillId="0" borderId="14" xfId="1" applyNumberFormat="1" applyFont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0" fontId="3" fillId="0" borderId="8" xfId="0" applyFont="1" applyBorder="1"/>
    <xf numFmtId="0" fontId="3" fillId="0" borderId="6" xfId="0" applyFont="1" applyBorder="1"/>
    <xf numFmtId="165" fontId="3" fillId="0" borderId="11" xfId="3" applyNumberFormat="1" applyFont="1" applyBorder="1"/>
    <xf numFmtId="165" fontId="0" fillId="0" borderId="11" xfId="3" applyNumberFormat="1" applyFont="1" applyBorder="1"/>
    <xf numFmtId="165" fontId="3" fillId="0" borderId="15" xfId="3" applyNumberFormat="1" applyFont="1" applyBorder="1"/>
    <xf numFmtId="165" fontId="0" fillId="0" borderId="6" xfId="3" applyNumberFormat="1" applyFont="1" applyBorder="1"/>
    <xf numFmtId="0" fontId="3" fillId="0" borderId="0" xfId="0" applyFont="1"/>
    <xf numFmtId="0" fontId="3" fillId="0" borderId="5" xfId="0" applyFont="1" applyBorder="1"/>
    <xf numFmtId="164" fontId="1" fillId="0" borderId="9" xfId="1" applyNumberFormat="1" applyFont="1" applyBorder="1"/>
    <xf numFmtId="164" fontId="1" fillId="0" borderId="10" xfId="1" applyNumberFormat="1" applyFont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4">
    <cellStyle name="Currency" xfId="1" builtinId="4"/>
    <cellStyle name="Normal" xfId="0" builtinId="0"/>
    <cellStyle name="Normal 2" xfId="2" xr:uid="{94BF6BBE-CD6C-4295-A2A4-C5EAA617ACE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C0935-062E-4FD5-8160-7017FC521A90}">
  <sheetPr>
    <pageSetUpPr fitToPage="1"/>
  </sheetPr>
  <dimension ref="A1:Z31"/>
  <sheetViews>
    <sheetView showGridLines="0" tabSelected="1" zoomScale="85" zoomScaleNormal="85" workbookViewId="0">
      <pane xSplit="12" ySplit="1" topLeftCell="M2" activePane="bottomRight" state="frozen"/>
      <selection pane="topRight" activeCell="M1" sqref="M1"/>
      <selection pane="bottomLeft" activeCell="A2" sqref="A2"/>
      <selection pane="bottomRight" activeCell="M27" sqref="M27"/>
    </sheetView>
  </sheetViews>
  <sheetFormatPr defaultRowHeight="14.4" x14ac:dyDescent="0.3"/>
  <cols>
    <col min="1" max="1" width="37.21875" customWidth="1"/>
    <col min="2" max="2" width="27.6640625" customWidth="1"/>
    <col min="3" max="7" width="13.6640625" hidden="1" customWidth="1"/>
    <col min="8" max="8" width="13.6640625" customWidth="1"/>
    <col min="9" max="9" width="9.6640625" customWidth="1"/>
    <col min="10" max="10" width="2" customWidth="1"/>
    <col min="11" max="11" width="37.21875" customWidth="1"/>
    <col min="12" max="12" width="21.21875" customWidth="1"/>
    <col min="13" max="25" width="13.6640625" customWidth="1"/>
    <col min="26" max="26" width="9.6640625" customWidth="1"/>
  </cols>
  <sheetData>
    <row r="1" spans="1:26" ht="15" thickBot="1" x14ac:dyDescent="0.35">
      <c r="A1" s="10" t="s">
        <v>33</v>
      </c>
      <c r="B1" s="10" t="s">
        <v>4</v>
      </c>
      <c r="C1" s="8">
        <v>2019</v>
      </c>
      <c r="D1" s="9">
        <v>2020</v>
      </c>
      <c r="E1" s="9">
        <v>2021</v>
      </c>
      <c r="F1" s="9">
        <v>2022</v>
      </c>
      <c r="G1" s="35">
        <v>2023</v>
      </c>
      <c r="H1" s="36">
        <v>2024</v>
      </c>
      <c r="I1" s="37"/>
      <c r="K1" s="10" t="s">
        <v>34</v>
      </c>
      <c r="L1" s="34" t="s">
        <v>4</v>
      </c>
      <c r="M1" s="8">
        <v>1</v>
      </c>
      <c r="N1" s="8">
        <v>2</v>
      </c>
      <c r="O1" s="8">
        <v>3</v>
      </c>
      <c r="P1" s="8">
        <v>4</v>
      </c>
      <c r="Q1" s="8">
        <v>5</v>
      </c>
      <c r="R1" s="8">
        <v>6</v>
      </c>
      <c r="S1" s="8">
        <v>7</v>
      </c>
      <c r="T1" s="8">
        <v>8</v>
      </c>
      <c r="U1" s="8">
        <v>9</v>
      </c>
      <c r="V1" s="8">
        <v>10</v>
      </c>
      <c r="W1" s="8">
        <v>11</v>
      </c>
      <c r="X1" s="35">
        <v>12</v>
      </c>
      <c r="Y1" s="36" t="s">
        <v>29</v>
      </c>
      <c r="Z1" s="37"/>
    </row>
    <row r="2" spans="1:26" x14ac:dyDescent="0.3">
      <c r="A2" s="11" t="s">
        <v>0</v>
      </c>
      <c r="B2" s="7" t="s">
        <v>2</v>
      </c>
      <c r="C2" s="3">
        <v>15000000</v>
      </c>
      <c r="D2" s="4">
        <v>20000000</v>
      </c>
      <c r="E2" s="4">
        <v>26500000</v>
      </c>
      <c r="F2" s="4">
        <v>29500000</v>
      </c>
      <c r="G2" s="3">
        <v>27500000</v>
      </c>
      <c r="H2" s="3">
        <v>32000000</v>
      </c>
      <c r="I2" s="16">
        <f>H2/H$2</f>
        <v>1</v>
      </c>
      <c r="K2" s="11" t="s">
        <v>0</v>
      </c>
      <c r="L2" t="s">
        <v>30</v>
      </c>
      <c r="M2" s="1">
        <v>2500000</v>
      </c>
      <c r="N2" s="2">
        <v>1500000</v>
      </c>
      <c r="O2" s="2">
        <v>2250000</v>
      </c>
      <c r="P2" s="2">
        <v>3500000</v>
      </c>
      <c r="Q2" s="2">
        <v>1750000</v>
      </c>
      <c r="R2" s="2">
        <v>2500000</v>
      </c>
      <c r="S2" s="2">
        <v>4250000</v>
      </c>
      <c r="T2" s="2">
        <v>1500000</v>
      </c>
      <c r="U2" s="2">
        <v>3350000</v>
      </c>
      <c r="V2" s="2">
        <v>4500000</v>
      </c>
      <c r="W2" s="2">
        <v>4250000</v>
      </c>
      <c r="X2" s="2">
        <v>3150000</v>
      </c>
      <c r="Y2" s="1">
        <f>SUM(M2:X2)</f>
        <v>35000000</v>
      </c>
      <c r="Z2" s="16">
        <f>Y2/Y$2</f>
        <v>1</v>
      </c>
    </row>
    <row r="3" spans="1:26" x14ac:dyDescent="0.3">
      <c r="A3" s="6" t="s">
        <v>1</v>
      </c>
      <c r="B3" s="7" t="s">
        <v>2</v>
      </c>
      <c r="C3" s="1">
        <f>C2*0.6</f>
        <v>9000000</v>
      </c>
      <c r="D3" s="2">
        <f>D2*0.65</f>
        <v>13000000</v>
      </c>
      <c r="E3" s="2">
        <f>E2*0.7</f>
        <v>18550000</v>
      </c>
      <c r="F3" s="2">
        <f>F2*0.75</f>
        <v>22125000</v>
      </c>
      <c r="G3" s="1">
        <f>G2*0.725</f>
        <v>19937500</v>
      </c>
      <c r="H3" s="1">
        <f>H2*0.715</f>
        <v>22880000</v>
      </c>
      <c r="I3" s="16">
        <f t="shared" ref="I3:I30" si="0">H3/H$2</f>
        <v>0.71499999999999997</v>
      </c>
      <c r="K3" s="6" t="s">
        <v>1</v>
      </c>
      <c r="L3" t="s">
        <v>30</v>
      </c>
      <c r="M3" s="1">
        <v>1900000</v>
      </c>
      <c r="N3" s="2">
        <v>1150000</v>
      </c>
      <c r="O3" s="2">
        <v>1500000</v>
      </c>
      <c r="P3" s="2">
        <v>2400000</v>
      </c>
      <c r="Q3" s="2">
        <v>1250000</v>
      </c>
      <c r="R3" s="2">
        <v>1800000</v>
      </c>
      <c r="S3" s="2">
        <v>3350000</v>
      </c>
      <c r="T3" s="2">
        <v>1050000</v>
      </c>
      <c r="U3" s="2">
        <v>2250000</v>
      </c>
      <c r="V3" s="2">
        <v>3250000</v>
      </c>
      <c r="W3" s="2">
        <v>3250000</v>
      </c>
      <c r="X3" s="2">
        <v>1800000</v>
      </c>
      <c r="Y3" s="1">
        <f t="shared" ref="Y3:Y30" si="1">SUM(M3:X3)</f>
        <v>24950000</v>
      </c>
      <c r="Z3" s="16">
        <f t="shared" ref="Z3:Z30" si="2">Y3/Y$2</f>
        <v>0.71285714285714286</v>
      </c>
    </row>
    <row r="4" spans="1:26" x14ac:dyDescent="0.3">
      <c r="A4" s="11" t="s">
        <v>5</v>
      </c>
      <c r="B4" s="7" t="s">
        <v>3</v>
      </c>
      <c r="C4" s="17">
        <f>C2-C3</f>
        <v>6000000</v>
      </c>
      <c r="D4" s="18">
        <f t="shared" ref="D4:H4" si="3">D2-D3</f>
        <v>7000000</v>
      </c>
      <c r="E4" s="18">
        <f t="shared" si="3"/>
        <v>7950000</v>
      </c>
      <c r="F4" s="18">
        <f t="shared" si="3"/>
        <v>7375000</v>
      </c>
      <c r="G4" s="17">
        <f t="shared" si="3"/>
        <v>7562500</v>
      </c>
      <c r="H4" s="17">
        <f t="shared" si="3"/>
        <v>9120000</v>
      </c>
      <c r="I4" s="26">
        <f t="shared" si="0"/>
        <v>0.28499999999999998</v>
      </c>
      <c r="K4" s="11" t="s">
        <v>6</v>
      </c>
      <c r="L4" t="s">
        <v>3</v>
      </c>
      <c r="M4" s="17">
        <f>M2-M3</f>
        <v>600000</v>
      </c>
      <c r="N4" s="18">
        <f t="shared" ref="N4:X4" si="4">N2-N3</f>
        <v>350000</v>
      </c>
      <c r="O4" s="18">
        <f t="shared" si="4"/>
        <v>750000</v>
      </c>
      <c r="P4" s="18">
        <f t="shared" si="4"/>
        <v>1100000</v>
      </c>
      <c r="Q4" s="18">
        <f t="shared" si="4"/>
        <v>500000</v>
      </c>
      <c r="R4" s="18">
        <f t="shared" si="4"/>
        <v>700000</v>
      </c>
      <c r="S4" s="18">
        <f t="shared" si="4"/>
        <v>900000</v>
      </c>
      <c r="T4" s="18">
        <f t="shared" si="4"/>
        <v>450000</v>
      </c>
      <c r="U4" s="18">
        <f t="shared" si="4"/>
        <v>1100000</v>
      </c>
      <c r="V4" s="18">
        <f t="shared" si="4"/>
        <v>1250000</v>
      </c>
      <c r="W4" s="18">
        <f t="shared" si="4"/>
        <v>1000000</v>
      </c>
      <c r="X4" s="18">
        <f t="shared" si="4"/>
        <v>1350000</v>
      </c>
      <c r="Y4" s="17">
        <f t="shared" si="1"/>
        <v>10050000</v>
      </c>
      <c r="Z4" s="26">
        <f t="shared" si="2"/>
        <v>0.28714285714285714</v>
      </c>
    </row>
    <row r="5" spans="1:26" x14ac:dyDescent="0.3">
      <c r="A5" s="6"/>
      <c r="B5" s="7"/>
      <c r="C5" s="14"/>
      <c r="D5" s="15"/>
      <c r="E5" s="15"/>
      <c r="F5" s="15"/>
      <c r="G5" s="14">
        <f>G4/G2</f>
        <v>0.27500000000000002</v>
      </c>
      <c r="H5" s="14"/>
      <c r="I5" s="16"/>
      <c r="K5" s="6"/>
      <c r="M5" s="14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4"/>
      <c r="Z5" s="16"/>
    </row>
    <row r="6" spans="1:26" x14ac:dyDescent="0.3">
      <c r="A6" s="11" t="s">
        <v>7</v>
      </c>
      <c r="B6" s="7"/>
      <c r="C6" s="1"/>
      <c r="D6" s="2"/>
      <c r="E6" s="2"/>
      <c r="F6" s="2"/>
      <c r="G6" s="1"/>
      <c r="H6" s="1"/>
      <c r="I6" s="16"/>
      <c r="K6" s="11" t="s">
        <v>7</v>
      </c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"/>
      <c r="Z6" s="16"/>
    </row>
    <row r="7" spans="1:26" x14ac:dyDescent="0.3">
      <c r="A7" s="19" t="s">
        <v>8</v>
      </c>
      <c r="B7" s="7" t="s">
        <v>2</v>
      </c>
      <c r="C7" s="1">
        <v>2500000</v>
      </c>
      <c r="D7" s="2">
        <v>3500000</v>
      </c>
      <c r="E7" s="2">
        <v>4500000</v>
      </c>
      <c r="F7" s="2">
        <v>5200000</v>
      </c>
      <c r="G7" s="1">
        <v>5350000</v>
      </c>
      <c r="H7" s="1">
        <v>4750000</v>
      </c>
      <c r="I7" s="16">
        <f t="shared" si="0"/>
        <v>0.1484375</v>
      </c>
      <c r="K7" s="19" t="s">
        <v>8</v>
      </c>
      <c r="L7" t="s">
        <v>30</v>
      </c>
      <c r="M7" s="1">
        <v>333333</v>
      </c>
      <c r="N7" s="2">
        <v>333333</v>
      </c>
      <c r="O7" s="2">
        <v>333334</v>
      </c>
      <c r="P7" s="2">
        <v>333333</v>
      </c>
      <c r="Q7" s="2">
        <v>333333</v>
      </c>
      <c r="R7" s="2">
        <v>333334</v>
      </c>
      <c r="S7" s="2">
        <v>333333</v>
      </c>
      <c r="T7" s="2">
        <v>333333</v>
      </c>
      <c r="U7" s="2">
        <v>333334</v>
      </c>
      <c r="V7" s="2">
        <v>333333</v>
      </c>
      <c r="W7" s="2">
        <v>333333</v>
      </c>
      <c r="X7" s="2">
        <v>333334</v>
      </c>
      <c r="Y7" s="1">
        <f t="shared" si="1"/>
        <v>4000000</v>
      </c>
      <c r="Z7" s="16">
        <f t="shared" si="2"/>
        <v>0.11428571428571428</v>
      </c>
    </row>
    <row r="8" spans="1:26" x14ac:dyDescent="0.3">
      <c r="A8" s="19" t="s">
        <v>10</v>
      </c>
      <c r="B8" s="7" t="s">
        <v>2</v>
      </c>
      <c r="C8" s="1">
        <f>C2*0.03</f>
        <v>450000</v>
      </c>
      <c r="D8" s="2">
        <f t="shared" ref="D8:E8" si="5">D2*0.03</f>
        <v>600000</v>
      </c>
      <c r="E8" s="2">
        <f t="shared" si="5"/>
        <v>795000</v>
      </c>
      <c r="F8" s="2">
        <f>F2*0.03/2</f>
        <v>442500</v>
      </c>
      <c r="G8" s="1">
        <f>G2*0.02</f>
        <v>550000</v>
      </c>
      <c r="H8" s="1">
        <f>H2*0.02</f>
        <v>640000</v>
      </c>
      <c r="I8" s="16">
        <f t="shared" si="0"/>
        <v>0.02</v>
      </c>
      <c r="K8" s="19" t="s">
        <v>10</v>
      </c>
      <c r="L8" t="s">
        <v>30</v>
      </c>
      <c r="M8" s="1">
        <f>M2*0.015</f>
        <v>37500</v>
      </c>
      <c r="N8" s="2">
        <f t="shared" ref="N8:X8" si="6">N2*0.015</f>
        <v>22500</v>
      </c>
      <c r="O8" s="2">
        <f t="shared" si="6"/>
        <v>33750</v>
      </c>
      <c r="P8" s="2">
        <f t="shared" si="6"/>
        <v>52500</v>
      </c>
      <c r="Q8" s="2">
        <f t="shared" si="6"/>
        <v>26250</v>
      </c>
      <c r="R8" s="2">
        <f t="shared" si="6"/>
        <v>37500</v>
      </c>
      <c r="S8" s="2">
        <f t="shared" si="6"/>
        <v>63750</v>
      </c>
      <c r="T8" s="2">
        <f t="shared" si="6"/>
        <v>22500</v>
      </c>
      <c r="U8" s="2">
        <f t="shared" si="6"/>
        <v>50250</v>
      </c>
      <c r="V8" s="2">
        <f t="shared" si="6"/>
        <v>67500</v>
      </c>
      <c r="W8" s="2">
        <f t="shared" si="6"/>
        <v>63750</v>
      </c>
      <c r="X8" s="2">
        <f t="shared" si="6"/>
        <v>47250</v>
      </c>
      <c r="Y8" s="1">
        <f t="shared" si="1"/>
        <v>525000</v>
      </c>
      <c r="Z8" s="16">
        <f t="shared" si="2"/>
        <v>1.4999999999999999E-2</v>
      </c>
    </row>
    <row r="9" spans="1:26" x14ac:dyDescent="0.3">
      <c r="A9" s="19" t="s">
        <v>9</v>
      </c>
      <c r="B9" s="7" t="s">
        <v>2</v>
      </c>
      <c r="C9" s="1">
        <f>SUM(C7:C8)*0.195</f>
        <v>575250</v>
      </c>
      <c r="D9" s="2">
        <f t="shared" ref="D9:H9" si="7">SUM(D7:D8)*0.195</f>
        <v>799500</v>
      </c>
      <c r="E9" s="2">
        <f t="shared" si="7"/>
        <v>1032525</v>
      </c>
      <c r="F9" s="2">
        <f t="shared" si="7"/>
        <v>1100287.5</v>
      </c>
      <c r="G9" s="1">
        <f t="shared" si="7"/>
        <v>1150500</v>
      </c>
      <c r="H9" s="1">
        <f t="shared" si="7"/>
        <v>1051050</v>
      </c>
      <c r="I9" s="16">
        <f t="shared" si="0"/>
        <v>3.2845312500000001E-2</v>
      </c>
      <c r="K9" s="19" t="s">
        <v>9</v>
      </c>
      <c r="L9" t="s">
        <v>30</v>
      </c>
      <c r="M9" s="1">
        <f>SUM(M7:M8)*0.175</f>
        <v>64895.774999999994</v>
      </c>
      <c r="N9" s="2">
        <f t="shared" ref="N9:X9" si="8">SUM(N7:N8)*0.175</f>
        <v>62270.774999999994</v>
      </c>
      <c r="O9" s="2">
        <f t="shared" si="8"/>
        <v>64239.7</v>
      </c>
      <c r="P9" s="2">
        <f t="shared" si="8"/>
        <v>67520.774999999994</v>
      </c>
      <c r="Q9" s="2">
        <f t="shared" si="8"/>
        <v>62927.024999999994</v>
      </c>
      <c r="R9" s="2">
        <f t="shared" si="8"/>
        <v>64895.95</v>
      </c>
      <c r="S9" s="2">
        <f t="shared" si="8"/>
        <v>69489.524999999994</v>
      </c>
      <c r="T9" s="2">
        <f t="shared" si="8"/>
        <v>62270.774999999994</v>
      </c>
      <c r="U9" s="2">
        <f t="shared" si="8"/>
        <v>67127.199999999997</v>
      </c>
      <c r="V9" s="2">
        <f t="shared" si="8"/>
        <v>70145.774999999994</v>
      </c>
      <c r="W9" s="2">
        <f t="shared" si="8"/>
        <v>69489.524999999994</v>
      </c>
      <c r="X9" s="2">
        <f t="shared" si="8"/>
        <v>66602.2</v>
      </c>
      <c r="Y9" s="1">
        <f t="shared" si="1"/>
        <v>791875</v>
      </c>
      <c r="Z9" s="16">
        <f t="shared" si="2"/>
        <v>2.2624999999999999E-2</v>
      </c>
    </row>
    <row r="10" spans="1:26" x14ac:dyDescent="0.3">
      <c r="A10" s="19" t="s">
        <v>11</v>
      </c>
      <c r="B10" s="7" t="s">
        <v>2</v>
      </c>
      <c r="C10" s="1">
        <v>15000</v>
      </c>
      <c r="D10" s="2">
        <v>150000</v>
      </c>
      <c r="E10" s="2">
        <v>250000</v>
      </c>
      <c r="F10" s="2">
        <v>450000</v>
      </c>
      <c r="G10" s="1">
        <v>250000</v>
      </c>
      <c r="H10" s="1">
        <v>150000</v>
      </c>
      <c r="I10" s="16">
        <f t="shared" si="0"/>
        <v>4.6874999999999998E-3</v>
      </c>
      <c r="K10" s="19" t="s">
        <v>11</v>
      </c>
      <c r="L10" t="s">
        <v>30</v>
      </c>
      <c r="M10" s="1">
        <v>18750</v>
      </c>
      <c r="N10" s="2">
        <v>18750</v>
      </c>
      <c r="O10" s="2">
        <v>18750</v>
      </c>
      <c r="P10" s="2">
        <v>18750</v>
      </c>
      <c r="Q10" s="2">
        <v>18750</v>
      </c>
      <c r="R10" s="2">
        <v>18750</v>
      </c>
      <c r="S10" s="2">
        <v>18750</v>
      </c>
      <c r="T10" s="2">
        <v>18750</v>
      </c>
      <c r="U10" s="2">
        <v>18750</v>
      </c>
      <c r="V10" s="2">
        <v>18750</v>
      </c>
      <c r="W10" s="2">
        <v>18750</v>
      </c>
      <c r="X10" s="2">
        <v>18750</v>
      </c>
      <c r="Y10" s="1">
        <f t="shared" si="1"/>
        <v>225000</v>
      </c>
      <c r="Z10" s="16">
        <f t="shared" si="2"/>
        <v>6.4285714285714285E-3</v>
      </c>
    </row>
    <row r="11" spans="1:26" x14ac:dyDescent="0.3">
      <c r="A11" s="19" t="s">
        <v>12</v>
      </c>
      <c r="B11" s="7" t="s">
        <v>2</v>
      </c>
      <c r="C11" s="1">
        <f>5000-3000</f>
        <v>2000</v>
      </c>
      <c r="D11" s="2">
        <f>-15000+25000</f>
        <v>10000</v>
      </c>
      <c r="E11" s="2">
        <f>50000-40000</f>
        <v>10000</v>
      </c>
      <c r="F11" s="2">
        <f>150000-75000</f>
        <v>75000</v>
      </c>
      <c r="G11" s="1">
        <f>200000-85000</f>
        <v>115000</v>
      </c>
      <c r="H11" s="1">
        <f>125000-30000</f>
        <v>95000</v>
      </c>
      <c r="I11" s="16">
        <f t="shared" si="0"/>
        <v>2.96875E-3</v>
      </c>
      <c r="K11" s="19" t="s">
        <v>12</v>
      </c>
      <c r="L11" t="s">
        <v>30</v>
      </c>
      <c r="M11" s="1">
        <v>15000</v>
      </c>
      <c r="N11" s="2">
        <v>15000</v>
      </c>
      <c r="O11" s="2">
        <v>15000</v>
      </c>
      <c r="P11" s="2">
        <v>15000</v>
      </c>
      <c r="Q11" s="2">
        <v>15000</v>
      </c>
      <c r="R11" s="2">
        <v>15000</v>
      </c>
      <c r="S11" s="2">
        <v>15000</v>
      </c>
      <c r="T11" s="2">
        <v>15000</v>
      </c>
      <c r="U11" s="2">
        <v>15000</v>
      </c>
      <c r="V11" s="2">
        <v>15000</v>
      </c>
      <c r="W11" s="2">
        <v>15000</v>
      </c>
      <c r="X11" s="2">
        <v>15000</v>
      </c>
      <c r="Y11" s="1">
        <f t="shared" si="1"/>
        <v>180000</v>
      </c>
      <c r="Z11" s="16">
        <f t="shared" si="2"/>
        <v>5.1428571428571426E-3</v>
      </c>
    </row>
    <row r="12" spans="1:26" x14ac:dyDescent="0.3">
      <c r="A12" s="19" t="s">
        <v>13</v>
      </c>
      <c r="B12" s="7" t="s">
        <v>2</v>
      </c>
      <c r="C12" s="1">
        <f>C6*0.1</f>
        <v>0</v>
      </c>
      <c r="D12" s="2">
        <v>125000</v>
      </c>
      <c r="E12" s="2">
        <v>150000</v>
      </c>
      <c r="F12" s="2">
        <v>175000</v>
      </c>
      <c r="G12" s="1">
        <v>190000</v>
      </c>
      <c r="H12" s="1">
        <v>150000</v>
      </c>
      <c r="I12" s="16">
        <f t="shared" si="0"/>
        <v>4.6874999999999998E-3</v>
      </c>
      <c r="K12" s="19" t="s">
        <v>13</v>
      </c>
      <c r="L12" t="s">
        <v>30</v>
      </c>
      <c r="M12" s="1">
        <f>175000/12</f>
        <v>14583.333333333334</v>
      </c>
      <c r="N12" s="2">
        <f t="shared" ref="N12:X12" si="9">175000/12</f>
        <v>14583.333333333334</v>
      </c>
      <c r="O12" s="2">
        <f t="shared" si="9"/>
        <v>14583.333333333334</v>
      </c>
      <c r="P12" s="2">
        <f t="shared" si="9"/>
        <v>14583.333333333334</v>
      </c>
      <c r="Q12" s="2">
        <f t="shared" si="9"/>
        <v>14583.333333333334</v>
      </c>
      <c r="R12" s="2">
        <f t="shared" si="9"/>
        <v>14583.333333333334</v>
      </c>
      <c r="S12" s="2">
        <f t="shared" si="9"/>
        <v>14583.333333333334</v>
      </c>
      <c r="T12" s="2">
        <f t="shared" si="9"/>
        <v>14583.333333333334</v>
      </c>
      <c r="U12" s="2">
        <f t="shared" si="9"/>
        <v>14583.333333333334</v>
      </c>
      <c r="V12" s="2">
        <f t="shared" si="9"/>
        <v>14583.333333333334</v>
      </c>
      <c r="W12" s="2">
        <f t="shared" si="9"/>
        <v>14583.333333333334</v>
      </c>
      <c r="X12" s="2">
        <f t="shared" si="9"/>
        <v>14583.333333333334</v>
      </c>
      <c r="Y12" s="1">
        <f t="shared" si="1"/>
        <v>175000.00000000003</v>
      </c>
      <c r="Z12" s="16">
        <f t="shared" si="2"/>
        <v>5.000000000000001E-3</v>
      </c>
    </row>
    <row r="13" spans="1:26" x14ac:dyDescent="0.3">
      <c r="A13" s="19" t="s">
        <v>14</v>
      </c>
      <c r="B13" s="7" t="s">
        <v>2</v>
      </c>
      <c r="C13" s="1">
        <v>5000</v>
      </c>
      <c r="D13" s="2">
        <v>7500</v>
      </c>
      <c r="E13" s="2">
        <v>6500</v>
      </c>
      <c r="F13" s="2">
        <v>25000</v>
      </c>
      <c r="G13" s="1">
        <v>75000</v>
      </c>
      <c r="H13" s="1">
        <v>50000</v>
      </c>
      <c r="I13" s="16">
        <f t="shared" si="0"/>
        <v>1.5625000000000001E-3</v>
      </c>
      <c r="K13" s="19" t="s">
        <v>14</v>
      </c>
      <c r="L13" t="s">
        <v>30</v>
      </c>
      <c r="M13" s="1">
        <v>5000</v>
      </c>
      <c r="N13" s="2">
        <v>5000</v>
      </c>
      <c r="O13" s="2">
        <v>5000</v>
      </c>
      <c r="P13" s="2">
        <v>5000</v>
      </c>
      <c r="Q13" s="2">
        <v>5000</v>
      </c>
      <c r="R13" s="2">
        <v>5000</v>
      </c>
      <c r="S13" s="2">
        <v>5000</v>
      </c>
      <c r="T13" s="2">
        <v>5000</v>
      </c>
      <c r="U13" s="2">
        <v>5000</v>
      </c>
      <c r="V13" s="2">
        <v>5000</v>
      </c>
      <c r="W13" s="2">
        <v>5000</v>
      </c>
      <c r="X13" s="2">
        <v>5000</v>
      </c>
      <c r="Y13" s="1">
        <f t="shared" si="1"/>
        <v>60000</v>
      </c>
      <c r="Z13" s="16">
        <f t="shared" si="2"/>
        <v>1.7142857142857142E-3</v>
      </c>
    </row>
    <row r="14" spans="1:26" x14ac:dyDescent="0.3">
      <c r="A14" s="19" t="s">
        <v>19</v>
      </c>
      <c r="B14" s="7" t="s">
        <v>2</v>
      </c>
      <c r="C14" s="1">
        <v>2500</v>
      </c>
      <c r="D14" s="2">
        <v>25000</v>
      </c>
      <c r="E14" s="2">
        <v>50000</v>
      </c>
      <c r="F14" s="2">
        <v>100000</v>
      </c>
      <c r="G14" s="1">
        <v>130000</v>
      </c>
      <c r="H14" s="1">
        <v>105000</v>
      </c>
      <c r="I14" s="16">
        <f t="shared" si="0"/>
        <v>3.2812499999999999E-3</v>
      </c>
      <c r="K14" s="19" t="s">
        <v>19</v>
      </c>
      <c r="L14" t="s">
        <v>30</v>
      </c>
      <c r="M14" s="1">
        <v>8500</v>
      </c>
      <c r="N14" s="2">
        <v>8500</v>
      </c>
      <c r="O14" s="2">
        <v>8500</v>
      </c>
      <c r="P14" s="2">
        <v>8500</v>
      </c>
      <c r="Q14" s="2">
        <v>8500</v>
      </c>
      <c r="R14" s="2">
        <v>8500</v>
      </c>
      <c r="S14" s="2">
        <v>8500</v>
      </c>
      <c r="T14" s="2">
        <v>8500</v>
      </c>
      <c r="U14" s="2">
        <v>8500</v>
      </c>
      <c r="V14" s="2">
        <v>8500</v>
      </c>
      <c r="W14" s="2">
        <v>8500</v>
      </c>
      <c r="X14" s="2">
        <v>8500</v>
      </c>
      <c r="Y14" s="1">
        <f t="shared" si="1"/>
        <v>102000</v>
      </c>
      <c r="Z14" s="16">
        <f t="shared" si="2"/>
        <v>2.9142857142857143E-3</v>
      </c>
    </row>
    <row r="15" spans="1:26" x14ac:dyDescent="0.3">
      <c r="A15" s="19" t="s">
        <v>15</v>
      </c>
      <c r="B15" s="7" t="s">
        <v>2</v>
      </c>
      <c r="C15" s="1">
        <v>1000</v>
      </c>
      <c r="D15" s="2">
        <v>2500</v>
      </c>
      <c r="E15" s="2">
        <v>15000</v>
      </c>
      <c r="F15" s="2">
        <v>25000</v>
      </c>
      <c r="G15" s="1">
        <v>27000</v>
      </c>
      <c r="H15" s="1">
        <v>20000</v>
      </c>
      <c r="I15" s="16">
        <f t="shared" si="0"/>
        <v>6.2500000000000001E-4</v>
      </c>
      <c r="K15" s="19" t="s">
        <v>15</v>
      </c>
      <c r="L15" t="s">
        <v>30</v>
      </c>
      <c r="M15" s="1">
        <v>2000</v>
      </c>
      <c r="N15" s="2">
        <v>2000</v>
      </c>
      <c r="O15" s="2">
        <v>2000</v>
      </c>
      <c r="P15" s="2">
        <v>2000</v>
      </c>
      <c r="Q15" s="2">
        <v>2000</v>
      </c>
      <c r="R15" s="2">
        <v>2000</v>
      </c>
      <c r="S15" s="2">
        <v>2000</v>
      </c>
      <c r="T15" s="2">
        <v>2000</v>
      </c>
      <c r="U15" s="2">
        <v>2000</v>
      </c>
      <c r="V15" s="2">
        <v>2000</v>
      </c>
      <c r="W15" s="2">
        <v>2000</v>
      </c>
      <c r="X15" s="2">
        <v>2000</v>
      </c>
      <c r="Y15" s="1">
        <f t="shared" si="1"/>
        <v>24000</v>
      </c>
      <c r="Z15" s="16">
        <f t="shared" si="2"/>
        <v>6.857142857142857E-4</v>
      </c>
    </row>
    <row r="16" spans="1:26" x14ac:dyDescent="0.3">
      <c r="A16" s="19" t="s">
        <v>16</v>
      </c>
      <c r="B16" s="7" t="s">
        <v>2</v>
      </c>
      <c r="C16" s="1">
        <v>1500</v>
      </c>
      <c r="D16" s="2">
        <v>2000</v>
      </c>
      <c r="E16" s="2">
        <v>3800</v>
      </c>
      <c r="F16" s="2">
        <v>4200</v>
      </c>
      <c r="G16" s="1">
        <v>5000</v>
      </c>
      <c r="H16" s="1">
        <v>4700</v>
      </c>
      <c r="I16" s="16">
        <f t="shared" si="0"/>
        <v>1.4687500000000001E-4</v>
      </c>
      <c r="K16" s="19" t="s">
        <v>16</v>
      </c>
      <c r="L16" t="s">
        <v>30</v>
      </c>
      <c r="M16" s="1">
        <v>400</v>
      </c>
      <c r="N16" s="2">
        <v>401</v>
      </c>
      <c r="O16" s="2">
        <v>402</v>
      </c>
      <c r="P16" s="2">
        <v>403</v>
      </c>
      <c r="Q16" s="2">
        <v>404</v>
      </c>
      <c r="R16" s="2">
        <v>405</v>
      </c>
      <c r="S16" s="2">
        <v>406</v>
      </c>
      <c r="T16" s="2">
        <v>407</v>
      </c>
      <c r="U16" s="2">
        <v>408</v>
      </c>
      <c r="V16" s="2">
        <v>409</v>
      </c>
      <c r="W16" s="2">
        <v>410</v>
      </c>
      <c r="X16" s="2">
        <v>411</v>
      </c>
      <c r="Y16" s="1">
        <f t="shared" si="1"/>
        <v>4866</v>
      </c>
      <c r="Z16" s="16">
        <f t="shared" si="2"/>
        <v>1.3902857142857142E-4</v>
      </c>
    </row>
    <row r="17" spans="1:26" x14ac:dyDescent="0.3">
      <c r="A17" s="19" t="s">
        <v>17</v>
      </c>
      <c r="B17" s="7" t="s">
        <v>2</v>
      </c>
      <c r="C17" s="1">
        <v>750</v>
      </c>
      <c r="D17" s="2">
        <v>1500</v>
      </c>
      <c r="E17" s="2">
        <v>5000</v>
      </c>
      <c r="F17" s="2">
        <v>15000</v>
      </c>
      <c r="G17" s="1">
        <v>25000</v>
      </c>
      <c r="H17" s="1">
        <v>17000</v>
      </c>
      <c r="I17" s="16">
        <f t="shared" si="0"/>
        <v>5.3125000000000004E-4</v>
      </c>
      <c r="K17" s="19" t="s">
        <v>17</v>
      </c>
      <c r="L17" t="s">
        <v>30</v>
      </c>
      <c r="M17" s="1">
        <f>2000</f>
        <v>2000</v>
      </c>
      <c r="N17" s="2">
        <f>2000</f>
        <v>2000</v>
      </c>
      <c r="O17" s="2">
        <f>2000</f>
        <v>2000</v>
      </c>
      <c r="P17" s="2">
        <f>2000</f>
        <v>2000</v>
      </c>
      <c r="Q17" s="2">
        <f>2000</f>
        <v>2000</v>
      </c>
      <c r="R17" s="2">
        <f>2000</f>
        <v>2000</v>
      </c>
      <c r="S17" s="2">
        <f>2000</f>
        <v>2000</v>
      </c>
      <c r="T17" s="2">
        <f>2000</f>
        <v>2000</v>
      </c>
      <c r="U17" s="2">
        <f>2000</f>
        <v>2000</v>
      </c>
      <c r="V17" s="2">
        <f>2000</f>
        <v>2000</v>
      </c>
      <c r="W17" s="2">
        <f>2000</f>
        <v>2000</v>
      </c>
      <c r="X17" s="2">
        <f>2000</f>
        <v>2000</v>
      </c>
      <c r="Y17" s="1">
        <f t="shared" si="1"/>
        <v>24000</v>
      </c>
      <c r="Z17" s="16">
        <f t="shared" si="2"/>
        <v>6.857142857142857E-4</v>
      </c>
    </row>
    <row r="18" spans="1:26" x14ac:dyDescent="0.3">
      <c r="A18" s="19" t="s">
        <v>18</v>
      </c>
      <c r="B18" s="7" t="s">
        <v>2</v>
      </c>
      <c r="C18" s="1">
        <v>12000</v>
      </c>
      <c r="D18" s="2">
        <v>18000</v>
      </c>
      <c r="E18" s="2">
        <v>25000</v>
      </c>
      <c r="F18" s="2">
        <v>30000</v>
      </c>
      <c r="G18" s="1">
        <v>35000</v>
      </c>
      <c r="H18" s="1">
        <v>25000</v>
      </c>
      <c r="I18" s="16">
        <f t="shared" si="0"/>
        <v>7.8125000000000004E-4</v>
      </c>
      <c r="K18" s="19" t="s">
        <v>18</v>
      </c>
      <c r="L18" t="s">
        <v>30</v>
      </c>
      <c r="M18" s="1">
        <v>18000</v>
      </c>
      <c r="N18" s="2">
        <v>18000</v>
      </c>
      <c r="O18" s="2">
        <v>18000</v>
      </c>
      <c r="P18" s="2">
        <v>18000</v>
      </c>
      <c r="Q18" s="2">
        <v>18000</v>
      </c>
      <c r="R18" s="2">
        <v>18000</v>
      </c>
      <c r="S18" s="2">
        <v>18000</v>
      </c>
      <c r="T18" s="2">
        <v>18000</v>
      </c>
      <c r="U18" s="2">
        <v>18000</v>
      </c>
      <c r="V18" s="2">
        <v>18000</v>
      </c>
      <c r="W18" s="2">
        <v>18000</v>
      </c>
      <c r="X18" s="2">
        <v>18000</v>
      </c>
      <c r="Y18" s="1">
        <f t="shared" si="1"/>
        <v>216000</v>
      </c>
      <c r="Z18" s="16">
        <f t="shared" si="2"/>
        <v>6.1714285714285716E-3</v>
      </c>
    </row>
    <row r="19" spans="1:26" x14ac:dyDescent="0.3">
      <c r="A19" s="19" t="s">
        <v>21</v>
      </c>
      <c r="B19" s="7" t="s">
        <v>2</v>
      </c>
      <c r="C19" s="1">
        <v>1950</v>
      </c>
      <c r="D19" s="2">
        <f>2500+12350</f>
        <v>14850</v>
      </c>
      <c r="E19" s="2">
        <f>5000-138</f>
        <v>4862</v>
      </c>
      <c r="F19" s="2">
        <f>15000-5405</f>
        <v>9595</v>
      </c>
      <c r="G19" s="1">
        <f>25000-11963</f>
        <v>13037</v>
      </c>
      <c r="H19" s="1">
        <f>7500+8778</f>
        <v>16278</v>
      </c>
      <c r="I19" s="16">
        <f t="shared" si="0"/>
        <v>5.0868750000000003E-4</v>
      </c>
      <c r="K19" s="19" t="s">
        <v>21</v>
      </c>
      <c r="L19" t="s">
        <v>30</v>
      </c>
      <c r="M19" s="1">
        <v>12500</v>
      </c>
      <c r="N19" s="2">
        <v>12500</v>
      </c>
      <c r="O19" s="2">
        <v>12500</v>
      </c>
      <c r="P19" s="2">
        <v>12500</v>
      </c>
      <c r="Q19" s="2">
        <v>12500</v>
      </c>
      <c r="R19" s="2">
        <v>12500</v>
      </c>
      <c r="S19" s="2">
        <v>12500</v>
      </c>
      <c r="T19" s="2">
        <v>12500</v>
      </c>
      <c r="U19" s="2">
        <v>12500</v>
      </c>
      <c r="V19" s="2">
        <v>12500</v>
      </c>
      <c r="W19" s="2">
        <v>12500</v>
      </c>
      <c r="X19" s="2">
        <v>12500</v>
      </c>
      <c r="Y19" s="1">
        <f t="shared" si="1"/>
        <v>150000</v>
      </c>
      <c r="Z19" s="16">
        <f t="shared" si="2"/>
        <v>4.2857142857142859E-3</v>
      </c>
    </row>
    <row r="20" spans="1:26" x14ac:dyDescent="0.3">
      <c r="A20" s="11" t="s">
        <v>20</v>
      </c>
      <c r="B20" s="7" t="s">
        <v>3</v>
      </c>
      <c r="C20" s="12">
        <f>SUM(C7:C19)</f>
        <v>3566950</v>
      </c>
      <c r="D20" s="13">
        <f t="shared" ref="D20:H20" si="10">SUM(D7:D19)</f>
        <v>5255850</v>
      </c>
      <c r="E20" s="13">
        <f t="shared" si="10"/>
        <v>6847687</v>
      </c>
      <c r="F20" s="13">
        <f t="shared" si="10"/>
        <v>7651582.5</v>
      </c>
      <c r="G20" s="12">
        <f t="shared" si="10"/>
        <v>7915537</v>
      </c>
      <c r="H20" s="12">
        <f t="shared" si="10"/>
        <v>7074028</v>
      </c>
      <c r="I20" s="27">
        <f t="shared" si="0"/>
        <v>0.22106337500000001</v>
      </c>
      <c r="K20" s="11" t="s">
        <v>20</v>
      </c>
      <c r="M20" s="32">
        <f>SUM(M7:M19)</f>
        <v>532462.1083333334</v>
      </c>
      <c r="N20" s="33">
        <f t="shared" ref="N20:X20" si="11">SUM(N7:N19)</f>
        <v>514838.10833333334</v>
      </c>
      <c r="O20" s="33">
        <f t="shared" si="11"/>
        <v>528059.03333333333</v>
      </c>
      <c r="P20" s="33">
        <f t="shared" si="11"/>
        <v>550090.1083333334</v>
      </c>
      <c r="Q20" s="33">
        <f t="shared" si="11"/>
        <v>519247.35833333334</v>
      </c>
      <c r="R20" s="33">
        <f t="shared" si="11"/>
        <v>532468.28333333333</v>
      </c>
      <c r="S20" s="33">
        <f t="shared" si="11"/>
        <v>563311.8583333334</v>
      </c>
      <c r="T20" s="33">
        <f t="shared" si="11"/>
        <v>514844.10833333334</v>
      </c>
      <c r="U20" s="33">
        <f t="shared" si="11"/>
        <v>547452.53333333333</v>
      </c>
      <c r="V20" s="33">
        <f t="shared" si="11"/>
        <v>567721.1083333334</v>
      </c>
      <c r="W20" s="33">
        <f t="shared" si="11"/>
        <v>563315.8583333334</v>
      </c>
      <c r="X20" s="33">
        <f t="shared" si="11"/>
        <v>543930.53333333333</v>
      </c>
      <c r="Y20" s="32">
        <f t="shared" si="1"/>
        <v>6477741</v>
      </c>
      <c r="Z20" s="27">
        <f t="shared" si="2"/>
        <v>0.18507831428571428</v>
      </c>
    </row>
    <row r="21" spans="1:26" x14ac:dyDescent="0.3">
      <c r="A21" s="19"/>
      <c r="B21" s="24"/>
      <c r="C21" s="1"/>
      <c r="D21" s="2"/>
      <c r="E21" s="2"/>
      <c r="F21" s="2"/>
      <c r="G21" s="1"/>
      <c r="H21" s="1"/>
      <c r="I21" s="16"/>
      <c r="K21" s="19"/>
      <c r="L21" s="30"/>
      <c r="M21" s="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">
        <f t="shared" si="1"/>
        <v>0</v>
      </c>
      <c r="Z21" s="16"/>
    </row>
    <row r="22" spans="1:26" x14ac:dyDescent="0.3">
      <c r="A22" s="11" t="s">
        <v>22</v>
      </c>
      <c r="B22" s="7" t="s">
        <v>3</v>
      </c>
      <c r="C22" s="17">
        <f>C4-C20</f>
        <v>2433050</v>
      </c>
      <c r="D22" s="18">
        <f t="shared" ref="D22:H22" si="12">D4-D20</f>
        <v>1744150</v>
      </c>
      <c r="E22" s="18">
        <f t="shared" si="12"/>
        <v>1102313</v>
      </c>
      <c r="F22" s="18">
        <f t="shared" si="12"/>
        <v>-276582.5</v>
      </c>
      <c r="G22" s="17">
        <f t="shared" si="12"/>
        <v>-353037</v>
      </c>
      <c r="H22" s="17">
        <f t="shared" si="12"/>
        <v>2045972</v>
      </c>
      <c r="I22" s="26">
        <f t="shared" si="0"/>
        <v>6.3936624999999997E-2</v>
      </c>
      <c r="K22" s="11" t="s">
        <v>31</v>
      </c>
      <c r="L22" t="s">
        <v>3</v>
      </c>
      <c r="M22" s="12">
        <f>M4-M20</f>
        <v>67537.891666666605</v>
      </c>
      <c r="N22" s="13">
        <f t="shared" ref="N22:X22" si="13">N4-N20</f>
        <v>-164838.10833333334</v>
      </c>
      <c r="O22" s="13">
        <f t="shared" si="13"/>
        <v>221940.96666666667</v>
      </c>
      <c r="P22" s="13">
        <f t="shared" si="13"/>
        <v>549909.8916666666</v>
      </c>
      <c r="Q22" s="13">
        <f t="shared" si="13"/>
        <v>-19247.358333333337</v>
      </c>
      <c r="R22" s="13">
        <f t="shared" si="13"/>
        <v>167531.71666666667</v>
      </c>
      <c r="S22" s="13">
        <f t="shared" si="13"/>
        <v>336688.1416666666</v>
      </c>
      <c r="T22" s="13">
        <f t="shared" si="13"/>
        <v>-64844.108333333337</v>
      </c>
      <c r="U22" s="13">
        <f t="shared" si="13"/>
        <v>552547.46666666667</v>
      </c>
      <c r="V22" s="13">
        <f t="shared" si="13"/>
        <v>682278.8916666666</v>
      </c>
      <c r="W22" s="13">
        <f t="shared" si="13"/>
        <v>436684.1416666666</v>
      </c>
      <c r="X22" s="13">
        <f t="shared" si="13"/>
        <v>806069.46666666667</v>
      </c>
      <c r="Y22" s="17">
        <f t="shared" si="1"/>
        <v>3572259</v>
      </c>
      <c r="Z22" s="26">
        <f t="shared" si="2"/>
        <v>0.10206454285714285</v>
      </c>
    </row>
    <row r="23" spans="1:26" x14ac:dyDescent="0.3">
      <c r="A23" s="19"/>
      <c r="B23" s="24"/>
      <c r="C23" s="1"/>
      <c r="D23" s="2"/>
      <c r="E23" s="2"/>
      <c r="F23" s="2"/>
      <c r="G23" s="1"/>
      <c r="H23" s="1"/>
      <c r="I23" s="16"/>
      <c r="K23" s="19"/>
      <c r="L23" s="30"/>
      <c r="M23" s="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1"/>
      <c r="Z23" s="16"/>
    </row>
    <row r="24" spans="1:26" x14ac:dyDescent="0.3">
      <c r="A24" s="11" t="s">
        <v>28</v>
      </c>
      <c r="B24" s="24"/>
      <c r="C24" s="1"/>
      <c r="D24" s="2"/>
      <c r="E24" s="2"/>
      <c r="F24" s="2"/>
      <c r="G24" s="1"/>
      <c r="H24" s="1"/>
      <c r="I24" s="16"/>
      <c r="K24" s="11" t="s">
        <v>28</v>
      </c>
      <c r="L24" s="30"/>
      <c r="M24" s="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"/>
      <c r="Z24" s="16"/>
    </row>
    <row r="25" spans="1:26" x14ac:dyDescent="0.3">
      <c r="A25" s="19" t="s">
        <v>23</v>
      </c>
      <c r="B25" s="7" t="s">
        <v>2</v>
      </c>
      <c r="C25" s="1">
        <v>500</v>
      </c>
      <c r="D25" s="2">
        <v>5000</v>
      </c>
      <c r="E25" s="2">
        <v>15000</v>
      </c>
      <c r="F25" s="2">
        <v>25000</v>
      </c>
      <c r="G25" s="1">
        <v>50000</v>
      </c>
      <c r="H25" s="1">
        <v>5000</v>
      </c>
      <c r="I25" s="16">
        <f t="shared" si="0"/>
        <v>1.5625E-4</v>
      </c>
      <c r="K25" s="19" t="s">
        <v>23</v>
      </c>
      <c r="L25" t="s">
        <v>30</v>
      </c>
      <c r="M25" s="1">
        <v>2100</v>
      </c>
      <c r="N25" s="2">
        <v>2100</v>
      </c>
      <c r="O25" s="2">
        <v>2100</v>
      </c>
      <c r="P25" s="2">
        <v>2100</v>
      </c>
      <c r="Q25" s="2">
        <v>2100</v>
      </c>
      <c r="R25" s="2">
        <v>2100</v>
      </c>
      <c r="S25" s="2">
        <v>2100</v>
      </c>
      <c r="T25" s="2">
        <v>2100</v>
      </c>
      <c r="U25" s="2">
        <v>2100</v>
      </c>
      <c r="V25" s="2">
        <v>2100</v>
      </c>
      <c r="W25" s="2">
        <v>2100</v>
      </c>
      <c r="X25" s="2">
        <v>2100</v>
      </c>
      <c r="Y25" s="1">
        <f>SUM(M25:X25)</f>
        <v>25200</v>
      </c>
      <c r="Z25" s="16">
        <f t="shared" si="2"/>
        <v>7.2000000000000005E-4</v>
      </c>
    </row>
    <row r="26" spans="1:26" x14ac:dyDescent="0.3">
      <c r="A26" s="19" t="s">
        <v>24</v>
      </c>
      <c r="B26" s="7" t="s">
        <v>2</v>
      </c>
      <c r="C26" s="1">
        <v>2500</v>
      </c>
      <c r="D26" s="2">
        <v>10000</v>
      </c>
      <c r="E26" s="2">
        <v>25000</v>
      </c>
      <c r="F26" s="2">
        <v>50000</v>
      </c>
      <c r="G26" s="1">
        <v>35000</v>
      </c>
      <c r="H26" s="1">
        <v>25000</v>
      </c>
      <c r="I26" s="16">
        <f t="shared" si="0"/>
        <v>7.8125000000000004E-4</v>
      </c>
      <c r="K26" s="19" t="s">
        <v>24</v>
      </c>
      <c r="L26" t="s">
        <v>30</v>
      </c>
      <c r="M26" s="1">
        <v>12500</v>
      </c>
      <c r="N26" s="2">
        <v>12500</v>
      </c>
      <c r="O26" s="2">
        <v>12500</v>
      </c>
      <c r="P26" s="2">
        <v>12500</v>
      </c>
      <c r="Q26" s="2">
        <v>12500</v>
      </c>
      <c r="R26" s="2">
        <v>12500</v>
      </c>
      <c r="S26" s="2">
        <v>12500</v>
      </c>
      <c r="T26" s="2">
        <v>12500</v>
      </c>
      <c r="U26" s="2">
        <v>12500</v>
      </c>
      <c r="V26" s="2">
        <v>12500</v>
      </c>
      <c r="W26" s="2">
        <v>12500</v>
      </c>
      <c r="X26" s="2">
        <v>12500</v>
      </c>
      <c r="Y26" s="1">
        <f t="shared" si="1"/>
        <v>150000</v>
      </c>
      <c r="Z26" s="16">
        <f t="shared" si="2"/>
        <v>4.2857142857142859E-3</v>
      </c>
    </row>
    <row r="27" spans="1:26" x14ac:dyDescent="0.3">
      <c r="A27" s="19" t="s">
        <v>25</v>
      </c>
      <c r="B27" s="7" t="s">
        <v>2</v>
      </c>
      <c r="C27" s="1">
        <v>0</v>
      </c>
      <c r="D27" s="2">
        <v>0</v>
      </c>
      <c r="E27" s="2">
        <v>0</v>
      </c>
      <c r="F27" s="2">
        <v>150000</v>
      </c>
      <c r="G27" s="1">
        <v>250000</v>
      </c>
      <c r="H27" s="1">
        <v>0</v>
      </c>
      <c r="I27" s="16">
        <f t="shared" si="0"/>
        <v>0</v>
      </c>
      <c r="K27" s="19" t="s">
        <v>25</v>
      </c>
      <c r="L27" t="s">
        <v>30</v>
      </c>
      <c r="M27" s="1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1">
        <f t="shared" si="1"/>
        <v>0</v>
      </c>
      <c r="Z27" s="16">
        <f t="shared" si="2"/>
        <v>0</v>
      </c>
    </row>
    <row r="28" spans="1:26" x14ac:dyDescent="0.3">
      <c r="A28" s="11" t="s">
        <v>26</v>
      </c>
      <c r="B28" s="7" t="s">
        <v>3</v>
      </c>
      <c r="C28" s="12">
        <f>SUM(C25:C27)</f>
        <v>3000</v>
      </c>
      <c r="D28" s="13">
        <f t="shared" ref="D28:H28" si="14">SUM(D25:D27)</f>
        <v>15000</v>
      </c>
      <c r="E28" s="13">
        <f t="shared" si="14"/>
        <v>40000</v>
      </c>
      <c r="F28" s="13">
        <f t="shared" si="14"/>
        <v>225000</v>
      </c>
      <c r="G28" s="12">
        <f t="shared" si="14"/>
        <v>335000</v>
      </c>
      <c r="H28" s="12">
        <f t="shared" si="14"/>
        <v>30000</v>
      </c>
      <c r="I28" s="27">
        <f t="shared" si="0"/>
        <v>9.3749999999999997E-4</v>
      </c>
      <c r="K28" s="11" t="s">
        <v>26</v>
      </c>
      <c r="M28" s="12">
        <f>SUM(M25:M27)</f>
        <v>14600</v>
      </c>
      <c r="N28" s="13">
        <f t="shared" ref="N28:X28" si="15">SUM(N25:N27)</f>
        <v>14600</v>
      </c>
      <c r="O28" s="13">
        <f t="shared" si="15"/>
        <v>14600</v>
      </c>
      <c r="P28" s="13">
        <f t="shared" si="15"/>
        <v>14600</v>
      </c>
      <c r="Q28" s="13">
        <f t="shared" si="15"/>
        <v>14600</v>
      </c>
      <c r="R28" s="13">
        <f t="shared" si="15"/>
        <v>14600</v>
      </c>
      <c r="S28" s="13">
        <f t="shared" si="15"/>
        <v>14600</v>
      </c>
      <c r="T28" s="13">
        <f t="shared" si="15"/>
        <v>14600</v>
      </c>
      <c r="U28" s="13">
        <f t="shared" si="15"/>
        <v>14600</v>
      </c>
      <c r="V28" s="13">
        <f t="shared" si="15"/>
        <v>14600</v>
      </c>
      <c r="W28" s="13">
        <f t="shared" si="15"/>
        <v>14600</v>
      </c>
      <c r="X28" s="13">
        <f t="shared" si="15"/>
        <v>14600</v>
      </c>
      <c r="Y28" s="12">
        <f t="shared" si="1"/>
        <v>175200</v>
      </c>
      <c r="Z28" s="27">
        <f t="shared" si="2"/>
        <v>5.0057142857142861E-3</v>
      </c>
    </row>
    <row r="29" spans="1:26" x14ac:dyDescent="0.3">
      <c r="A29" s="6"/>
      <c r="B29" s="24"/>
      <c r="C29" s="1"/>
      <c r="D29" s="2"/>
      <c r="E29" s="2"/>
      <c r="F29" s="2"/>
      <c r="G29" s="1"/>
      <c r="H29" s="1"/>
      <c r="I29" s="16"/>
      <c r="K29" s="6"/>
      <c r="L29" s="30"/>
      <c r="M29" s="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">
        <f t="shared" si="1"/>
        <v>0</v>
      </c>
      <c r="Z29" s="16"/>
    </row>
    <row r="30" spans="1:26" ht="15" thickBot="1" x14ac:dyDescent="0.35">
      <c r="A30" s="11" t="s">
        <v>27</v>
      </c>
      <c r="B30" s="7" t="s">
        <v>3</v>
      </c>
      <c r="C30" s="20">
        <f>C22-C28</f>
        <v>2430050</v>
      </c>
      <c r="D30" s="21">
        <f t="shared" ref="D30:H30" si="16">D22-D28</f>
        <v>1729150</v>
      </c>
      <c r="E30" s="21">
        <f t="shared" si="16"/>
        <v>1062313</v>
      </c>
      <c r="F30" s="21">
        <f t="shared" si="16"/>
        <v>-501582.5</v>
      </c>
      <c r="G30" s="20">
        <f t="shared" si="16"/>
        <v>-688037</v>
      </c>
      <c r="H30" s="20">
        <f t="shared" si="16"/>
        <v>2015972</v>
      </c>
      <c r="I30" s="28">
        <f t="shared" si="0"/>
        <v>6.2999125000000003E-2</v>
      </c>
      <c r="K30" s="11" t="s">
        <v>32</v>
      </c>
      <c r="L30" t="s">
        <v>3</v>
      </c>
      <c r="M30" s="20">
        <f>M22-M28</f>
        <v>52937.891666666605</v>
      </c>
      <c r="N30" s="21">
        <f t="shared" ref="N30:X30" si="17">N22-N28</f>
        <v>-179438.10833333334</v>
      </c>
      <c r="O30" s="21">
        <f t="shared" si="17"/>
        <v>207340.96666666667</v>
      </c>
      <c r="P30" s="21">
        <f t="shared" si="17"/>
        <v>535309.8916666666</v>
      </c>
      <c r="Q30" s="21">
        <f t="shared" si="17"/>
        <v>-33847.358333333337</v>
      </c>
      <c r="R30" s="21">
        <f t="shared" si="17"/>
        <v>152931.71666666667</v>
      </c>
      <c r="S30" s="21">
        <f t="shared" si="17"/>
        <v>322088.1416666666</v>
      </c>
      <c r="T30" s="21">
        <f t="shared" si="17"/>
        <v>-79444.108333333337</v>
      </c>
      <c r="U30" s="21">
        <f t="shared" si="17"/>
        <v>537947.46666666667</v>
      </c>
      <c r="V30" s="21">
        <f t="shared" si="17"/>
        <v>667678.8916666666</v>
      </c>
      <c r="W30" s="21">
        <f t="shared" si="17"/>
        <v>422084.1416666666</v>
      </c>
      <c r="X30" s="21">
        <f t="shared" si="17"/>
        <v>791469.46666666667</v>
      </c>
      <c r="Y30" s="20">
        <f t="shared" si="1"/>
        <v>3397059</v>
      </c>
      <c r="Z30" s="28">
        <f t="shared" si="2"/>
        <v>9.7058828571428571E-2</v>
      </c>
    </row>
    <row r="31" spans="1:26" ht="15.6" thickTop="1" thickBot="1" x14ac:dyDescent="0.35">
      <c r="A31" s="5"/>
      <c r="B31" s="25"/>
      <c r="C31" s="22"/>
      <c r="D31" s="23"/>
      <c r="E31" s="23"/>
      <c r="F31" s="23"/>
      <c r="G31" s="22"/>
      <c r="H31" s="22"/>
      <c r="I31" s="29"/>
      <c r="K31" s="5"/>
      <c r="L31" s="31"/>
      <c r="M31" s="22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2"/>
      <c r="Z31" s="29"/>
    </row>
  </sheetData>
  <mergeCells count="2">
    <mergeCell ref="H1:I1"/>
    <mergeCell ref="Y1:Z1"/>
  </mergeCells>
  <printOptions horizontalCentered="1"/>
  <pageMargins left="0.7" right="0.7" top="0.75" bottom="0.75" header="0.3" footer="0.3"/>
  <pageSetup scale="37" orientation="landscape" r:id="rId1"/>
  <headerFooter>
    <oddHeader>&amp;C&amp;"-,Bold"Budget Template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651e07-d2b4-4b7e-ac4f-5cbdccf1e4aa" xsi:nil="true"/>
    <lcf76f155ced4ddcb4097134ff3c332f xmlns="ba16d19c-c45f-401c-826d-f522cf9165c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908800F9D2174CA5CBAD07D9CA2D7F" ma:contentTypeVersion="15" ma:contentTypeDescription="Create a new document." ma:contentTypeScope="" ma:versionID="f4ed309b2d7a39ba822f2f54206021dc">
  <xsd:schema xmlns:xsd="http://www.w3.org/2001/XMLSchema" xmlns:xs="http://www.w3.org/2001/XMLSchema" xmlns:p="http://schemas.microsoft.com/office/2006/metadata/properties" xmlns:ns2="ba16d19c-c45f-401c-826d-f522cf9165c3" xmlns:ns3="f9651e07-d2b4-4b7e-ac4f-5cbdccf1e4aa" targetNamespace="http://schemas.microsoft.com/office/2006/metadata/properties" ma:root="true" ma:fieldsID="12f80cf02d9fd739ed82b895e9861c22" ns2:_="" ns3:_="">
    <xsd:import namespace="ba16d19c-c45f-401c-826d-f522cf9165c3"/>
    <xsd:import namespace="f9651e07-d2b4-4b7e-ac4f-5cbdccf1e4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6d19c-c45f-401c-826d-f522cf9165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dfe2595-36d9-429f-b09c-d881af29fa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51e07-d2b4-4b7e-ac4f-5cbdccf1e4a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0a45693-d3ec-4254-a0c5-44681a9a08ad}" ma:internalName="TaxCatchAll" ma:showField="CatchAllData" ma:web="f9651e07-d2b4-4b7e-ac4f-5cbdccf1e4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E9895C-BAD2-49E9-97B9-FD4787AE4A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B31E80-913C-4C7F-9A9E-09B0FA0B134D}">
  <ds:schemaRefs>
    <ds:schemaRef ds:uri="http://schemas.microsoft.com/office/2006/metadata/properties"/>
    <ds:schemaRef ds:uri="http://schemas.microsoft.com/office/infopath/2007/PartnerControls"/>
    <ds:schemaRef ds:uri="f9651e07-d2b4-4b7e-ac4f-5cbdccf1e4aa"/>
    <ds:schemaRef ds:uri="ba16d19c-c45f-401c-826d-f522cf9165c3"/>
  </ds:schemaRefs>
</ds:datastoreItem>
</file>

<file path=customXml/itemProps3.xml><?xml version="1.0" encoding="utf-8"?>
<ds:datastoreItem xmlns:ds="http://schemas.openxmlformats.org/officeDocument/2006/customXml" ds:itemID="{226BD022-6796-4309-B463-F4A17AE0F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6d19c-c45f-401c-826d-f522cf9165c3"/>
    <ds:schemaRef ds:uri="f9651e07-d2b4-4b7e-ac4f-5cbdccf1e4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Delker</dc:creator>
  <cp:lastModifiedBy>Michelle Delker</cp:lastModifiedBy>
  <cp:lastPrinted>2025-01-04T20:16:18Z</cp:lastPrinted>
  <dcterms:created xsi:type="dcterms:W3CDTF">2025-01-04T03:56:47Z</dcterms:created>
  <dcterms:modified xsi:type="dcterms:W3CDTF">2025-01-04T20:16:42Z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0x01010016908800F9D2174CA5CBAD07D9CA2D7F</vt:lpwstr>
  </property>
  <property fmtid="{D5CDD505-2E9C-101B-9397-08002B2CF9AE}" pid="3" name="MediaServiceImageTags">
    <vt:lpwstr/>
  </property>
</Properties>
</file>